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RUM - product management\PRODUKTI\SINGLE PRODUKTI\1120 - Računovodstvo in finance\56231 ZBIRNA MAPA ZA RAČUNOVODJE\623107 november 2023\"/>
    </mc:Choice>
  </mc:AlternateContent>
  <xr:revisionPtr revIDLastSave="0" documentId="8_{3ACA219A-47AA-4CA4-82B1-1C537AC75BA2}" xr6:coauthVersionLast="47" xr6:coauthVersionMax="47" xr10:uidLastSave="{00000000-0000-0000-0000-000000000000}"/>
  <bookViews>
    <workbookView xWindow="-120" yWindow="-120" windowWidth="29040" windowHeight="15720" xr2:uid="{8BC2A4D4-86FD-4BF4-B384-2984ABBC3B4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0" i="1"/>
  <c r="B52" i="1"/>
  <c r="F35" i="1"/>
  <c r="B32" i="1"/>
  <c r="F32" i="1" s="1"/>
  <c r="D38" i="1"/>
  <c r="E38" i="1" s="1"/>
  <c r="C37" i="1"/>
  <c r="C47" i="1" s="1"/>
  <c r="B38" i="1"/>
  <c r="B37" i="1"/>
  <c r="E20" i="1"/>
  <c r="E19" i="1"/>
  <c r="B14" i="1"/>
  <c r="D19" i="1"/>
  <c r="D18" i="1"/>
  <c r="C21" i="1"/>
  <c r="C20" i="1"/>
  <c r="B21" i="1"/>
  <c r="B13" i="1"/>
  <c r="B20" i="1"/>
  <c r="B19" i="1"/>
  <c r="B18" i="1"/>
  <c r="E40" i="1"/>
  <c r="E39" i="1"/>
  <c r="E28" i="1"/>
  <c r="F36" i="1" l="1"/>
  <c r="B47" i="1"/>
  <c r="E47" i="1"/>
  <c r="D36" i="1"/>
  <c r="D47" i="1"/>
  <c r="E37" i="1"/>
  <c r="E36" i="1" s="1"/>
  <c r="C36" i="1"/>
  <c r="B36" i="1"/>
  <c r="D28" i="1" l="1"/>
  <c r="E18" i="1"/>
  <c r="C28" i="1"/>
  <c r="B28" i="1"/>
  <c r="D17" i="1" l="1"/>
  <c r="D22" i="1" s="1"/>
  <c r="D23" i="1" l="1"/>
  <c r="D26" i="1" s="1"/>
  <c r="D30" i="1" s="1"/>
  <c r="D32" i="1" s="1"/>
  <c r="E32" i="1" s="1"/>
  <c r="D24" i="1"/>
  <c r="D46" i="1" s="1"/>
  <c r="E21" i="1"/>
  <c r="E17" i="1" s="1"/>
  <c r="D45" i="1" l="1"/>
  <c r="E22" i="1"/>
  <c r="B17" i="1"/>
  <c r="C17" i="1"/>
  <c r="E23" i="1" l="1"/>
  <c r="E24" i="1"/>
  <c r="B22" i="1"/>
  <c r="B23" i="1" s="1"/>
  <c r="B26" i="1" s="1"/>
  <c r="B30" i="1" s="1"/>
  <c r="C22" i="1"/>
  <c r="E34" i="1" l="1"/>
  <c r="E44" i="1" s="1"/>
  <c r="E26" i="1"/>
  <c r="E30" i="1" s="1"/>
  <c r="E46" i="1"/>
  <c r="E45" i="1"/>
  <c r="B24" i="1"/>
  <c r="B34" i="1"/>
  <c r="B44" i="1" s="1"/>
  <c r="D34" i="1"/>
  <c r="D44" i="1" s="1"/>
  <c r="B51" i="1"/>
  <c r="C24" i="1"/>
  <c r="C23" i="1"/>
  <c r="C26" i="1" s="1"/>
  <c r="C30" i="1" s="1"/>
  <c r="B55" i="1" l="1"/>
  <c r="E54" i="1"/>
  <c r="F44" i="1"/>
  <c r="B45" i="1"/>
  <c r="B46" i="1"/>
  <c r="C46" i="1"/>
  <c r="C45" i="1"/>
  <c r="F34" i="1"/>
  <c r="B50" i="1"/>
  <c r="B54" i="1" s="1"/>
  <c r="B56" i="1" l="1"/>
  <c r="C34" i="1"/>
  <c r="C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Brigita Osojnik</author>
  </authors>
  <commentList>
    <comment ref="B54" authorId="0" shapeId="0" xr:uid="{1579E3DE-14E8-40EB-8B59-379B4ECC631A}">
      <text>
        <r>
          <rPr>
            <b/>
            <sz val="9"/>
            <color indexed="81"/>
            <rFont val="Segoe UI"/>
            <family val="2"/>
            <charset val="238"/>
          </rPr>
          <t>Brigita Osojnik:</t>
        </r>
        <r>
          <rPr>
            <sz val="9"/>
            <color indexed="81"/>
            <rFont val="Segoe UI"/>
            <family val="2"/>
            <charset val="238"/>
          </rPr>
          <t xml:space="preserve">
s KIDO12)</t>
        </r>
      </text>
    </comment>
    <comment ref="E54" authorId="0" shapeId="0" xr:uid="{C5AF6CCD-6C50-40C9-B901-CC4682C7E1E5}">
      <text>
        <r>
          <rPr>
            <b/>
            <sz val="9"/>
            <color indexed="81"/>
            <rFont val="Segoe UI"/>
            <family val="2"/>
            <charset val="238"/>
          </rPr>
          <t>Brigita Osojnik:</t>
        </r>
        <r>
          <rPr>
            <sz val="9"/>
            <color indexed="81"/>
            <rFont val="Segoe UI"/>
            <family val="2"/>
            <charset val="238"/>
          </rPr>
          <t xml:space="preserve">
(s KIDO5)</t>
        </r>
      </text>
    </comment>
  </commentList>
</comments>
</file>

<file path=xl/sharedStrings.xml><?xml version="1.0" encoding="utf-8"?>
<sst xmlns="http://schemas.openxmlformats.org/spreadsheetml/2006/main" count="70" uniqueCount="64">
  <si>
    <t xml:space="preserve">Primer izračuna plače - napotitev do 30 dni - nerezident (13. člen Uredbe 883/2004) </t>
  </si>
  <si>
    <t xml:space="preserve"> - plača za enako delo v Sloveniji po pogodbi o zaposlitvi: 1.500 EUR bruto</t>
  </si>
  <si>
    <t>(skupaj bruto plača: osnovna plača redno delo, nadomestilo za praznik, dodatek na delovno dobo)</t>
  </si>
  <si>
    <t xml:space="preserve"> - nastanitev plača delodajalec - 400 EUR na delavca</t>
  </si>
  <si>
    <t>brez KIDO 5</t>
  </si>
  <si>
    <t>v EUR</t>
  </si>
  <si>
    <t>Bruto plača - skupaj:</t>
  </si>
  <si>
    <t>Osnova za prispevke:</t>
  </si>
  <si>
    <t>22,1 % PSV:</t>
  </si>
  <si>
    <t>16,1% PSV:</t>
  </si>
  <si>
    <t>Davčna osnova:</t>
  </si>
  <si>
    <t>Davčna olajšava:</t>
  </si>
  <si>
    <t xml:space="preserve"> - splošna davčna olajšava:</t>
  </si>
  <si>
    <t>Neto davčna osnova:</t>
  </si>
  <si>
    <t>Dohodnina - lestvica:</t>
  </si>
  <si>
    <t>Neto plača:</t>
  </si>
  <si>
    <t>Povračila - skupaj:</t>
  </si>
  <si>
    <t>+ 26 %  nad  729,58</t>
  </si>
  <si>
    <t>Skupaj izplačilo:</t>
  </si>
  <si>
    <t>+ 39 %  nad 4.291,67</t>
  </si>
  <si>
    <t>6.180,00</t>
  </si>
  <si>
    <t>+ 45 %  nad 6.180,00</t>
  </si>
  <si>
    <t>Skupni strošek delodajalca:</t>
  </si>
  <si>
    <t>plača</t>
  </si>
  <si>
    <t>povračilo stroškov delavcu</t>
  </si>
  <si>
    <t>120 ur</t>
  </si>
  <si>
    <t xml:space="preserve"> - delovnih dni v času napotitve: 15 dni</t>
  </si>
  <si>
    <t>400 eur</t>
  </si>
  <si>
    <t>plačan davek v tujini (predpostavka)</t>
  </si>
  <si>
    <t xml:space="preserve"> - detašma (dodatek za delo v tujini (120 ur)):</t>
  </si>
  <si>
    <t xml:space="preserve"> - plačilo za delo v tujini (detašma po aneksu): 15 eur bruto/uro</t>
  </si>
  <si>
    <t>malica napotitev</t>
  </si>
  <si>
    <t>KIDO 5 (tujina) - 120 ur</t>
  </si>
  <si>
    <t>Prevoz na delo in z dela :</t>
  </si>
  <si>
    <t xml:space="preserve">Prevoz ob začetku napotitve/koncu napotitve: </t>
  </si>
  <si>
    <t xml:space="preserve"> - predpostavka (delavcu je v času napotitve zagotovljen prevoz s strani delodajalca)</t>
  </si>
  <si>
    <t>Davek v tujini (soglasje delavca)</t>
  </si>
  <si>
    <t>plačilo stroškov delodajalca (nastanitev):</t>
  </si>
  <si>
    <t>skupaj s KIDO5</t>
  </si>
  <si>
    <t>razlika neto dohodka s KIDO5</t>
  </si>
  <si>
    <t>malica delo v Sloveniji</t>
  </si>
  <si>
    <t>Vračilo dohodnine v Sloveniji na podlagi KIDO12</t>
  </si>
  <si>
    <t>sorazmerni del dohodnine na dohodek v tujini</t>
  </si>
  <si>
    <t>povprečna stopnja dohodnine na bruto dohodek</t>
  </si>
  <si>
    <t>sorazmeni del dohodnine na dohodek v Sloveniji</t>
  </si>
  <si>
    <t>povprečno neto izplačilo na uro (delov v tujini in delo v Sloveniji) s KIDO</t>
  </si>
  <si>
    <t>povprečno neto izplačilo na uro za delo v tujini brez KIDO</t>
  </si>
  <si>
    <t>razlika v povprečnem izplačilu na uro brez KIDO</t>
  </si>
  <si>
    <t>Odtegljaj:</t>
  </si>
  <si>
    <t>REK-O vrsta dohodka 1001 (DELAVEC ZAVAROVAN NA ZAVAROVALNI PODLAGI 001)</t>
  </si>
  <si>
    <t>(pri izračunu dohodnine je upoštevana objavljena lestvica z odmero dohodnine za leto 2023)</t>
  </si>
  <si>
    <t xml:space="preserve"> - delavec je napoten v Nemčijo od 3.1.2023 do 21.1.2023 (zavarovalna podlaga 001)</t>
  </si>
  <si>
    <t>predpostavka, delavec je v Sloveniji oddaljen od sedeža delodajalca manj kot 1 km</t>
  </si>
  <si>
    <t>IZRAČUN PLAČE ZA JANUAR 2023 -  vrsta dohodka 1001</t>
  </si>
  <si>
    <t>praznik v Sl. (8 ur)</t>
  </si>
  <si>
    <t xml:space="preserve"> redno delo Nemčija z MD (120 ur)</t>
  </si>
  <si>
    <t xml:space="preserve"> - redno delo v Sloveniji z MD (48 ur):</t>
  </si>
  <si>
    <t>dohodek za delo v Sloveniji - 48 ur in praznik 8ur</t>
  </si>
  <si>
    <t>729,58</t>
  </si>
  <si>
    <t>+ 33 %  nad 2.145,83</t>
  </si>
  <si>
    <t>+ 50 %  nad 6.180,00</t>
  </si>
  <si>
    <t>BD tujina x doh /BD ali</t>
  </si>
  <si>
    <t>KIDO12</t>
  </si>
  <si>
    <t>BD za LD x doh. / BD x % prisotnosti na delu v tujini do meseca uveljavljanja dohodka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</si>
</sst>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8.5"/>
      <color rgb="FF323232"/>
      <name val="Arial"/>
      <family val="2"/>
      <charset val="238"/>
    </font>
    <font>
      <sz val="6"/>
      <color rgb="FF555555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43" fontId="2" fillId="0" borderId="1" xfId="1" applyFont="1" applyBorder="1"/>
    <xf numFmtId="0" fontId="3" fillId="0" borderId="1" xfId="0" applyFont="1" applyBorder="1"/>
    <xf numFmtId="43" fontId="3" fillId="0" borderId="1" xfId="1" applyFont="1" applyBorder="1"/>
    <xf numFmtId="164" fontId="3" fillId="0" borderId="0" xfId="0" applyNumberFormat="1" applyFont="1"/>
    <xf numFmtId="164" fontId="2" fillId="2" borderId="1" xfId="0" applyNumberFormat="1" applyFont="1" applyFill="1" applyBorder="1"/>
    <xf numFmtId="164" fontId="3" fillId="0" borderId="1" xfId="0" applyNumberFormat="1" applyFont="1" applyBorder="1"/>
    <xf numFmtId="164" fontId="2" fillId="0" borderId="1" xfId="0" applyNumberFormat="1" applyFont="1" applyBorder="1"/>
    <xf numFmtId="0" fontId="4" fillId="0" borderId="2" xfId="0" applyFont="1" applyBorder="1" applyAlignment="1">
      <alignment horizontal="right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0" fillId="3" borderId="3" xfId="0" applyFill="1" applyBorder="1"/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2" fillId="2" borderId="1" xfId="0" applyFont="1" applyFill="1" applyBorder="1"/>
    <xf numFmtId="4" fontId="3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4" borderId="0" xfId="0" applyFont="1" applyFill="1" applyAlignment="1">
      <alignment horizontal="center"/>
    </xf>
    <xf numFmtId="164" fontId="2" fillId="4" borderId="1" xfId="0" applyNumberFormat="1" applyFont="1" applyFill="1" applyBorder="1"/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0411-B671-4244-AE55-223C3B07478B}">
  <dimension ref="A1:L66"/>
  <sheetViews>
    <sheetView tabSelected="1" topLeftCell="A10" workbookViewId="0">
      <selection activeCell="B52" sqref="B52"/>
    </sheetView>
  </sheetViews>
  <sheetFormatPr defaultColWidth="9.140625" defaultRowHeight="15" x14ac:dyDescent="0.3"/>
  <cols>
    <col min="1" max="1" width="63.140625" style="2" customWidth="1"/>
    <col min="2" max="2" width="12.42578125" style="2" bestFit="1" customWidth="1"/>
    <col min="3" max="3" width="38.140625" style="2" bestFit="1" customWidth="1"/>
    <col min="4" max="4" width="44.42578125" style="2" bestFit="1" customWidth="1"/>
    <col min="5" max="5" width="38.140625" style="2" customWidth="1"/>
    <col min="6" max="6" width="10.28515625" style="2" bestFit="1" customWidth="1"/>
    <col min="7" max="7" width="27.7109375" style="2" customWidth="1"/>
    <col min="8" max="8" width="9.140625" style="2"/>
    <col min="9" max="10" width="10.28515625" style="2" bestFit="1" customWidth="1"/>
    <col min="11" max="11" width="16.42578125" style="2" customWidth="1"/>
    <col min="12" max="16384" width="9.140625" style="2"/>
  </cols>
  <sheetData>
    <row r="1" spans="1:5" x14ac:dyDescent="0.3">
      <c r="A1" s="1" t="s">
        <v>0</v>
      </c>
    </row>
    <row r="2" spans="1:5" x14ac:dyDescent="0.3">
      <c r="A2" s="1" t="s">
        <v>49</v>
      </c>
      <c r="B2" s="1"/>
    </row>
    <row r="3" spans="1:5" x14ac:dyDescent="0.3">
      <c r="A3" s="2" t="s">
        <v>50</v>
      </c>
    </row>
    <row r="4" spans="1:5" x14ac:dyDescent="0.3">
      <c r="A4" s="2" t="s">
        <v>1</v>
      </c>
      <c r="C4" s="2" t="s">
        <v>2</v>
      </c>
    </row>
    <row r="5" spans="1:5" x14ac:dyDescent="0.3">
      <c r="A5" s="2" t="s">
        <v>30</v>
      </c>
    </row>
    <row r="6" spans="1:5" x14ac:dyDescent="0.3">
      <c r="A6" s="2" t="s">
        <v>51</v>
      </c>
    </row>
    <row r="7" spans="1:5" x14ac:dyDescent="0.3">
      <c r="A7" s="2" t="s">
        <v>26</v>
      </c>
      <c r="B7" s="2" t="s">
        <v>25</v>
      </c>
    </row>
    <row r="8" spans="1:5" x14ac:dyDescent="0.3">
      <c r="A8" s="2" t="s">
        <v>35</v>
      </c>
    </row>
    <row r="9" spans="1:5" x14ac:dyDescent="0.3">
      <c r="A9" s="2" t="s">
        <v>52</v>
      </c>
    </row>
    <row r="10" spans="1:5" ht="14.25" customHeight="1" x14ac:dyDescent="0.3">
      <c r="A10" s="2" t="s">
        <v>3</v>
      </c>
    </row>
    <row r="11" spans="1:5" ht="14.25" customHeight="1" x14ac:dyDescent="0.3">
      <c r="A11" s="2" t="s">
        <v>28</v>
      </c>
      <c r="B11" s="2" t="s">
        <v>27</v>
      </c>
    </row>
    <row r="12" spans="1:5" ht="14.25" customHeight="1" x14ac:dyDescent="0.3"/>
    <row r="13" spans="1:5" x14ac:dyDescent="0.3">
      <c r="B13" s="2">
        <f>120*15</f>
        <v>1800</v>
      </c>
    </row>
    <row r="14" spans="1:5" x14ac:dyDescent="0.3">
      <c r="B14" s="2">
        <f>120+48+8</f>
        <v>176</v>
      </c>
    </row>
    <row r="15" spans="1:5" x14ac:dyDescent="0.3">
      <c r="A15" s="1" t="s">
        <v>53</v>
      </c>
      <c r="B15" s="23" t="s">
        <v>4</v>
      </c>
      <c r="C15" s="3" t="s">
        <v>32</v>
      </c>
      <c r="D15" s="3" t="s">
        <v>57</v>
      </c>
      <c r="E15" s="3" t="s">
        <v>38</v>
      </c>
    </row>
    <row r="16" spans="1:5" x14ac:dyDescent="0.3">
      <c r="A16" s="1"/>
      <c r="B16" s="4" t="s">
        <v>5</v>
      </c>
      <c r="C16" s="4" t="s">
        <v>5</v>
      </c>
      <c r="D16" s="21" t="s">
        <v>5</v>
      </c>
      <c r="E16" s="4" t="s">
        <v>5</v>
      </c>
    </row>
    <row r="17" spans="1:9" x14ac:dyDescent="0.3">
      <c r="A17" s="5" t="s">
        <v>6</v>
      </c>
      <c r="B17" s="6">
        <f>SUM(B18:B21)</f>
        <v>2277.272727272727</v>
      </c>
      <c r="C17" s="6">
        <f>SUM(C18:C21)</f>
        <v>1800</v>
      </c>
      <c r="D17" s="6">
        <f>SUM(D18:D21)</f>
        <v>477.27272727272731</v>
      </c>
      <c r="E17" s="6">
        <f>SUM(E18:E21)</f>
        <v>2277.272727272727</v>
      </c>
      <c r="F17" s="9"/>
    </row>
    <row r="18" spans="1:9" x14ac:dyDescent="0.3">
      <c r="A18" s="7" t="s">
        <v>56</v>
      </c>
      <c r="B18" s="8">
        <f>1500/176*48</f>
        <v>409.09090909090912</v>
      </c>
      <c r="C18" s="8"/>
      <c r="D18" s="8">
        <f>1500/176*48</f>
        <v>409.09090909090912</v>
      </c>
      <c r="E18" s="8">
        <f>D18</f>
        <v>409.09090909090912</v>
      </c>
      <c r="F18" s="20"/>
    </row>
    <row r="19" spans="1:9" x14ac:dyDescent="0.3">
      <c r="A19" s="7" t="s">
        <v>54</v>
      </c>
      <c r="B19" s="8">
        <f>1500/176*8</f>
        <v>68.181818181818187</v>
      </c>
      <c r="C19" s="8"/>
      <c r="D19" s="8">
        <f>B19</f>
        <v>68.181818181818187</v>
      </c>
      <c r="E19" s="8">
        <f>D19</f>
        <v>68.181818181818187</v>
      </c>
      <c r="F19" s="20"/>
    </row>
    <row r="20" spans="1:9" x14ac:dyDescent="0.3">
      <c r="A20" s="7" t="s">
        <v>55</v>
      </c>
      <c r="B20" s="8">
        <f>1500/176*120</f>
        <v>1022.7272727272727</v>
      </c>
      <c r="C20" s="8">
        <f>1500/176*120</f>
        <v>1022.7272727272727</v>
      </c>
      <c r="D20" s="8"/>
      <c r="E20" s="8">
        <f>1500/176*120</f>
        <v>1022.7272727272727</v>
      </c>
      <c r="F20" s="20"/>
    </row>
    <row r="21" spans="1:9" x14ac:dyDescent="0.3">
      <c r="A21" s="7" t="s">
        <v>29</v>
      </c>
      <c r="B21" s="8">
        <f>120*15-B20</f>
        <v>777.27272727272725</v>
      </c>
      <c r="C21" s="8">
        <f>120*15-C20</f>
        <v>777.27272727272725</v>
      </c>
      <c r="D21" s="8">
        <v>0</v>
      </c>
      <c r="E21" s="8">
        <f>C21</f>
        <v>777.27272727272725</v>
      </c>
      <c r="F21" s="20"/>
    </row>
    <row r="22" spans="1:9" x14ac:dyDescent="0.3">
      <c r="A22" s="7" t="s">
        <v>7</v>
      </c>
      <c r="B22" s="8">
        <f>B17</f>
        <v>2277.272727272727</v>
      </c>
      <c r="C22" s="8">
        <f>C17</f>
        <v>1800</v>
      </c>
      <c r="D22" s="8">
        <f>D17</f>
        <v>477.27272727272731</v>
      </c>
      <c r="E22" s="8">
        <f>E17</f>
        <v>2277.272727272727</v>
      </c>
      <c r="F22" s="9"/>
    </row>
    <row r="23" spans="1:9" x14ac:dyDescent="0.3">
      <c r="A23" s="7" t="s">
        <v>8</v>
      </c>
      <c r="B23" s="8">
        <f>B22*22.1%</f>
        <v>503.2772727272727</v>
      </c>
      <c r="C23" s="8">
        <f>C22*22.1%</f>
        <v>397.8</v>
      </c>
      <c r="D23" s="8">
        <f>D22*22.1%</f>
        <v>105.47727272727273</v>
      </c>
      <c r="E23" s="8">
        <f>E22*22.1%</f>
        <v>503.2772727272727</v>
      </c>
      <c r="F23" s="9"/>
    </row>
    <row r="24" spans="1:9" x14ac:dyDescent="0.3">
      <c r="A24" s="7" t="s">
        <v>9</v>
      </c>
      <c r="B24" s="8">
        <f>B22*16.1%</f>
        <v>366.64090909090908</v>
      </c>
      <c r="C24" s="8">
        <f>C22*16.1%</f>
        <v>289.8</v>
      </c>
      <c r="D24" s="8">
        <f>D22*16.1%</f>
        <v>76.840909090909093</v>
      </c>
      <c r="E24" s="8">
        <f>E22*16.1%</f>
        <v>366.64090909090908</v>
      </c>
    </row>
    <row r="25" spans="1:9" x14ac:dyDescent="0.3">
      <c r="A25" s="7"/>
      <c r="B25" s="8"/>
      <c r="C25" s="8"/>
      <c r="D25" s="8"/>
      <c r="E25" s="8"/>
    </row>
    <row r="26" spans="1:9" x14ac:dyDescent="0.3">
      <c r="A26" s="7" t="s">
        <v>10</v>
      </c>
      <c r="B26" s="8">
        <f>B17-B23</f>
        <v>1773.9954545454543</v>
      </c>
      <c r="C26" s="8">
        <f>C17-C23</f>
        <v>1402.2</v>
      </c>
      <c r="D26" s="8">
        <f>D17-D23</f>
        <v>371.79545454545456</v>
      </c>
      <c r="E26" s="8">
        <f>E17-E23</f>
        <v>1773.9954545454543</v>
      </c>
      <c r="F26" s="9"/>
    </row>
    <row r="27" spans="1:9" x14ac:dyDescent="0.3">
      <c r="A27" s="7"/>
      <c r="B27" s="8"/>
      <c r="C27" s="8"/>
      <c r="D27" s="8"/>
      <c r="E27" s="8"/>
    </row>
    <row r="28" spans="1:9" x14ac:dyDescent="0.3">
      <c r="A28" s="7" t="s">
        <v>11</v>
      </c>
      <c r="B28" s="8">
        <f>SUM(B29:B29)</f>
        <v>0</v>
      </c>
      <c r="C28" s="8">
        <f>SUM(C29:C29)</f>
        <v>0</v>
      </c>
      <c r="D28" s="8">
        <f>SUM(D29:D29)</f>
        <v>0</v>
      </c>
      <c r="E28" s="8">
        <f>SUM(E29:E29)</f>
        <v>0</v>
      </c>
    </row>
    <row r="29" spans="1:9" x14ac:dyDescent="0.3">
      <c r="A29" s="7" t="s">
        <v>12</v>
      </c>
      <c r="B29" s="8">
        <v>0</v>
      </c>
      <c r="C29" s="8">
        <v>0</v>
      </c>
      <c r="D29" s="8">
        <v>0</v>
      </c>
      <c r="E29" s="8">
        <v>0</v>
      </c>
    </row>
    <row r="30" spans="1:9" x14ac:dyDescent="0.3">
      <c r="A30" s="7" t="s">
        <v>13</v>
      </c>
      <c r="B30" s="8">
        <f>B26-B28</f>
        <v>1773.9954545454543</v>
      </c>
      <c r="C30" s="8">
        <f>C26-C28</f>
        <v>1402.2</v>
      </c>
      <c r="D30" s="8">
        <f>D26-D28</f>
        <v>371.79545454545456</v>
      </c>
      <c r="E30" s="8">
        <f>E26-E28</f>
        <v>1773.9954545454543</v>
      </c>
    </row>
    <row r="31" spans="1:9" x14ac:dyDescent="0.3">
      <c r="A31" s="7"/>
      <c r="B31" s="8"/>
      <c r="C31" s="8"/>
      <c r="D31" s="8"/>
      <c r="E31" s="8"/>
    </row>
    <row r="32" spans="1:9" x14ac:dyDescent="0.3">
      <c r="A32" s="7" t="s">
        <v>14</v>
      </c>
      <c r="B32" s="8">
        <f>(B30-B60)*0.26+D60</f>
        <v>388.2780181818182</v>
      </c>
      <c r="C32" s="8">
        <v>0</v>
      </c>
      <c r="D32" s="8">
        <f>D30*0.16</f>
        <v>59.487272727272732</v>
      </c>
      <c r="E32" s="8">
        <f>D32</f>
        <v>59.487272727272732</v>
      </c>
      <c r="F32" s="9">
        <f>B32-D32</f>
        <v>328.79074545454546</v>
      </c>
      <c r="I32" s="9"/>
    </row>
    <row r="33" spans="1:12" x14ac:dyDescent="0.3">
      <c r="A33" s="7"/>
      <c r="B33" s="8"/>
      <c r="C33" s="8"/>
      <c r="D33" s="8"/>
      <c r="E33" s="8"/>
    </row>
    <row r="34" spans="1:12" x14ac:dyDescent="0.3">
      <c r="A34" s="5" t="s">
        <v>15</v>
      </c>
      <c r="B34" s="24">
        <f>B17-B23-B32</f>
        <v>1385.7174363636361</v>
      </c>
      <c r="C34" s="10">
        <f>C17-C23-C32</f>
        <v>1402.2</v>
      </c>
      <c r="D34" s="10">
        <f>D17-D23-D32</f>
        <v>312.30818181818182</v>
      </c>
      <c r="E34" s="10">
        <f>E17-E23-E32</f>
        <v>1714.5081818181816</v>
      </c>
      <c r="F34" s="9">
        <f>E34-B34</f>
        <v>328.79074545454546</v>
      </c>
      <c r="G34" s="2" t="s">
        <v>39</v>
      </c>
      <c r="I34" s="9"/>
    </row>
    <row r="35" spans="1:12" x14ac:dyDescent="0.3">
      <c r="A35" s="7"/>
      <c r="B35" s="11"/>
      <c r="C35" s="11"/>
      <c r="D35" s="11"/>
      <c r="E35" s="11"/>
      <c r="F35" s="9">
        <f>D30*0.2189</f>
        <v>81.386025000000004</v>
      </c>
      <c r="I35" s="9"/>
      <c r="J35" s="9"/>
      <c r="K35" s="9"/>
    </row>
    <row r="36" spans="1:12" x14ac:dyDescent="0.3">
      <c r="A36" s="5" t="s">
        <v>16</v>
      </c>
      <c r="B36" s="12">
        <f>B37+B38+B39+B40</f>
        <v>262.70999999999998</v>
      </c>
      <c r="C36" s="12">
        <f>C37+C38+C39+C40</f>
        <v>214.95</v>
      </c>
      <c r="D36" s="12">
        <f>D37+D38+D39+D40</f>
        <v>47.76</v>
      </c>
      <c r="E36" s="12">
        <f>E37+E38+E39+E40</f>
        <v>262.70999999999998</v>
      </c>
      <c r="F36" s="9">
        <f>B32*100/B30</f>
        <v>21.887204794518794</v>
      </c>
      <c r="I36" s="9"/>
      <c r="K36" s="9"/>
    </row>
    <row r="37" spans="1:12" x14ac:dyDescent="0.3">
      <c r="A37" s="7" t="s">
        <v>31</v>
      </c>
      <c r="B37" s="8">
        <f>15*14.33</f>
        <v>214.95</v>
      </c>
      <c r="C37" s="8">
        <f>15*14.33</f>
        <v>214.95</v>
      </c>
      <c r="D37" s="8">
        <v>0</v>
      </c>
      <c r="E37" s="8">
        <f>C37</f>
        <v>214.95</v>
      </c>
      <c r="F37" s="9"/>
    </row>
    <row r="38" spans="1:12" x14ac:dyDescent="0.3">
      <c r="A38" s="7" t="s">
        <v>40</v>
      </c>
      <c r="B38" s="8">
        <f>6*7.96</f>
        <v>47.76</v>
      </c>
      <c r="C38" s="8">
        <v>0</v>
      </c>
      <c r="D38" s="8">
        <f>6*7.96</f>
        <v>47.76</v>
      </c>
      <c r="E38" s="8">
        <f>D38</f>
        <v>47.76</v>
      </c>
    </row>
    <row r="39" spans="1:12" ht="15.75" x14ac:dyDescent="0.3">
      <c r="A39" s="7" t="s">
        <v>33</v>
      </c>
      <c r="B39" s="8">
        <v>0</v>
      </c>
      <c r="C39" s="8">
        <v>0</v>
      </c>
      <c r="D39" s="8">
        <v>0</v>
      </c>
      <c r="E39" s="8">
        <f>C39+D39</f>
        <v>0</v>
      </c>
      <c r="H39" s="13"/>
      <c r="I39" s="13">
        <v>729.58</v>
      </c>
      <c r="J39" s="13"/>
      <c r="K39" s="14">
        <v>0.16</v>
      </c>
      <c r="L39" s="15"/>
    </row>
    <row r="40" spans="1:12" x14ac:dyDescent="0.3">
      <c r="A40" s="7" t="s">
        <v>34</v>
      </c>
      <c r="B40" s="8">
        <v>0</v>
      </c>
      <c r="C40" s="8">
        <v>0</v>
      </c>
      <c r="D40" s="8">
        <v>0</v>
      </c>
      <c r="E40" s="8">
        <f>C40+D40</f>
        <v>0</v>
      </c>
      <c r="H40" s="13">
        <v>729.58</v>
      </c>
      <c r="I40" s="16">
        <v>2145.83</v>
      </c>
      <c r="J40" s="13">
        <v>116.73</v>
      </c>
      <c r="K40" s="17" t="s">
        <v>17</v>
      </c>
      <c r="L40" s="18"/>
    </row>
    <row r="41" spans="1:12" x14ac:dyDescent="0.3">
      <c r="A41" s="5"/>
      <c r="B41" s="12"/>
      <c r="C41" s="12"/>
      <c r="D41" s="12"/>
      <c r="E41" s="12"/>
      <c r="H41" s="16">
        <v>4291.67</v>
      </c>
      <c r="I41" s="16">
        <v>6180</v>
      </c>
      <c r="J41" s="16">
        <v>1193.08</v>
      </c>
      <c r="K41" s="17" t="s">
        <v>19</v>
      </c>
      <c r="L41" s="18"/>
    </row>
    <row r="42" spans="1:12" x14ac:dyDescent="0.3">
      <c r="A42" s="5" t="s">
        <v>48</v>
      </c>
      <c r="B42" s="6"/>
      <c r="C42" s="6"/>
      <c r="D42" s="6"/>
      <c r="E42" s="6"/>
      <c r="H42" s="13" t="s">
        <v>20</v>
      </c>
      <c r="I42" s="13"/>
      <c r="J42" s="16">
        <v>1929.53</v>
      </c>
      <c r="K42" s="17" t="s">
        <v>21</v>
      </c>
      <c r="L42" s="18"/>
    </row>
    <row r="43" spans="1:12" x14ac:dyDescent="0.3">
      <c r="A43" s="7" t="s">
        <v>36</v>
      </c>
      <c r="B43" s="8">
        <v>400</v>
      </c>
      <c r="C43" s="8">
        <v>400</v>
      </c>
      <c r="D43" s="8"/>
      <c r="E43" s="8">
        <v>400</v>
      </c>
    </row>
    <row r="44" spans="1:12" x14ac:dyDescent="0.3">
      <c r="A44" s="19" t="s">
        <v>18</v>
      </c>
      <c r="B44" s="24">
        <f>B34+B36-B43</f>
        <v>1248.4274363636362</v>
      </c>
      <c r="C44" s="10">
        <f t="shared" ref="C44:E44" si="0">C34+C36-C43</f>
        <v>1217.1500000000001</v>
      </c>
      <c r="D44" s="10">
        <f t="shared" si="0"/>
        <v>360.06818181818181</v>
      </c>
      <c r="E44" s="10">
        <f t="shared" si="0"/>
        <v>1577.2181818181816</v>
      </c>
      <c r="F44" s="9">
        <f>E44-B44</f>
        <v>328.79074545454546</v>
      </c>
    </row>
    <row r="45" spans="1:12" x14ac:dyDescent="0.3">
      <c r="A45" s="5" t="s">
        <v>22</v>
      </c>
      <c r="B45" s="12">
        <f>B17+B24+B36+B43</f>
        <v>3306.6236363636363</v>
      </c>
      <c r="C45" s="12">
        <f>C17+C24+C36+C43</f>
        <v>2704.75</v>
      </c>
      <c r="D45" s="12">
        <f>D17+D24+D36+D43</f>
        <v>601.87363636363636</v>
      </c>
      <c r="E45" s="12">
        <f>E17+E24+E36+E43</f>
        <v>3306.6236363636363</v>
      </c>
    </row>
    <row r="46" spans="1:12" x14ac:dyDescent="0.3">
      <c r="A46" s="7" t="s">
        <v>23</v>
      </c>
      <c r="B46" s="11">
        <f>B17+B24</f>
        <v>2643.9136363636362</v>
      </c>
      <c r="C46" s="11">
        <f>C17+C24</f>
        <v>2089.8000000000002</v>
      </c>
      <c r="D46" s="11">
        <f>D17+D24</f>
        <v>554.11363636363637</v>
      </c>
      <c r="E46" s="11">
        <f>E17+E24</f>
        <v>2643.9136363636362</v>
      </c>
    </row>
    <row r="47" spans="1:12" x14ac:dyDescent="0.3">
      <c r="A47" s="7" t="s">
        <v>24</v>
      </c>
      <c r="B47" s="11">
        <f>B37+B38+B39+B40</f>
        <v>262.70999999999998</v>
      </c>
      <c r="C47" s="11">
        <f t="shared" ref="C47:D47" si="1">C37+C38+C39+C40</f>
        <v>214.95</v>
      </c>
      <c r="D47" s="11">
        <f t="shared" si="1"/>
        <v>47.76</v>
      </c>
      <c r="E47" s="11">
        <f>C47+D47</f>
        <v>262.70999999999998</v>
      </c>
    </row>
    <row r="48" spans="1:12" x14ac:dyDescent="0.3">
      <c r="A48" s="7" t="s">
        <v>37</v>
      </c>
      <c r="B48" s="11">
        <v>400</v>
      </c>
      <c r="C48" s="11">
        <v>400</v>
      </c>
      <c r="D48" s="11">
        <v>400</v>
      </c>
      <c r="E48" s="11">
        <v>400</v>
      </c>
    </row>
    <row r="50" spans="1:6" x14ac:dyDescent="0.3">
      <c r="A50" s="1" t="s">
        <v>41</v>
      </c>
      <c r="B50" s="22">
        <f>B52</f>
        <v>306.90238562874254</v>
      </c>
      <c r="C50" s="9">
        <f>B32-B50</f>
        <v>81.375632553075661</v>
      </c>
    </row>
    <row r="51" spans="1:6" x14ac:dyDescent="0.3">
      <c r="A51" s="2" t="s">
        <v>43</v>
      </c>
      <c r="B51" s="2">
        <f>B32/B17*100</f>
        <v>17.050132534930142</v>
      </c>
    </row>
    <row r="52" spans="1:6" x14ac:dyDescent="0.3">
      <c r="A52" s="2" t="s">
        <v>42</v>
      </c>
      <c r="B52" s="9">
        <f>C17*B32/B17</f>
        <v>306.90238562874254</v>
      </c>
    </row>
    <row r="53" spans="1:6" x14ac:dyDescent="0.3">
      <c r="A53" s="2" t="s">
        <v>44</v>
      </c>
      <c r="B53" s="9">
        <f>(B18+B19)*B51/100</f>
        <v>81.37563255307569</v>
      </c>
    </row>
    <row r="54" spans="1:6" x14ac:dyDescent="0.3">
      <c r="A54" s="2" t="s">
        <v>45</v>
      </c>
      <c r="B54" s="9">
        <f>(B44+B50)/176</f>
        <v>8.837101261320333</v>
      </c>
      <c r="C54" s="9"/>
      <c r="D54" s="9"/>
      <c r="E54" s="9">
        <f>E44/168</f>
        <v>9.3882034632034621</v>
      </c>
      <c r="F54" s="9"/>
    </row>
    <row r="55" spans="1:6" x14ac:dyDescent="0.3">
      <c r="A55" s="2" t="s">
        <v>46</v>
      </c>
      <c r="B55" s="9">
        <f>B44/176</f>
        <v>7.0933377066115693</v>
      </c>
      <c r="F55" s="9"/>
    </row>
    <row r="56" spans="1:6" x14ac:dyDescent="0.3">
      <c r="A56" s="2" t="s">
        <v>47</v>
      </c>
      <c r="B56" s="9">
        <f>B54-B55</f>
        <v>1.7437635547087638</v>
      </c>
    </row>
    <row r="59" spans="1:6" x14ac:dyDescent="0.3">
      <c r="B59" s="13"/>
      <c r="C59" s="13" t="s">
        <v>58</v>
      </c>
      <c r="D59" s="13"/>
      <c r="E59" s="14">
        <v>0.16</v>
      </c>
    </row>
    <row r="60" spans="1:6" x14ac:dyDescent="0.3">
      <c r="B60" s="13">
        <v>729.58</v>
      </c>
      <c r="C60" s="16">
        <v>2145.83</v>
      </c>
      <c r="D60" s="13">
        <v>116.73</v>
      </c>
      <c r="E60" s="17" t="s">
        <v>17</v>
      </c>
    </row>
    <row r="61" spans="1:6" x14ac:dyDescent="0.3">
      <c r="B61" s="16">
        <v>2145.83</v>
      </c>
      <c r="C61" s="16">
        <v>4291.67</v>
      </c>
      <c r="D61" s="13">
        <v>484.96</v>
      </c>
      <c r="E61" s="17" t="s">
        <v>59</v>
      </c>
    </row>
    <row r="62" spans="1:6" x14ac:dyDescent="0.3">
      <c r="B62" s="16">
        <v>4291.67</v>
      </c>
      <c r="C62" s="16">
        <v>6180</v>
      </c>
      <c r="D62" s="16">
        <v>1193.08</v>
      </c>
      <c r="E62" s="17" t="s">
        <v>19</v>
      </c>
    </row>
    <row r="63" spans="1:6" x14ac:dyDescent="0.3">
      <c r="B63" s="13" t="s">
        <v>20</v>
      </c>
      <c r="C63" s="13"/>
      <c r="D63" s="16">
        <v>1929.53</v>
      </c>
      <c r="E63" s="17" t="s">
        <v>60</v>
      </c>
    </row>
    <row r="64" spans="1:6" x14ac:dyDescent="0.3">
      <c r="A64" s="1" t="s">
        <v>62</v>
      </c>
    </row>
    <row r="65" spans="1:1" x14ac:dyDescent="0.3">
      <c r="A65" s="2" t="s">
        <v>61</v>
      </c>
    </row>
    <row r="66" spans="1:1" x14ac:dyDescent="0.3">
      <c r="A66" s="2" t="s">
        <v>63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Brigita Osojnik</dc:creator>
  <cp:lastModifiedBy>Borko Strašek Polona</cp:lastModifiedBy>
  <dcterms:created xsi:type="dcterms:W3CDTF">2022-08-29T10:37:31Z</dcterms:created>
  <dcterms:modified xsi:type="dcterms:W3CDTF">2023-11-20T08:27:06Z</dcterms:modified>
</cp:coreProperties>
</file>